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jil/Desktop/Private stuff/Spejderstuff/"/>
    </mc:Choice>
  </mc:AlternateContent>
  <xr:revisionPtr revIDLastSave="0" documentId="13_ncr:1_{A53DFB5C-0F64-1F48-86C6-44202C9BA55E}" xr6:coauthVersionLast="40" xr6:coauthVersionMax="40" xr10:uidLastSave="{00000000-0000-0000-0000-000000000000}"/>
  <bookViews>
    <workbookView xWindow="1060" yWindow="460" windowWidth="28800" windowHeight="11700" xr2:uid="{00000000-000D-0000-FFFF-FFFF00000000}"/>
  </bookViews>
  <sheets>
    <sheet name="Grupperegnskab spejder 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1" l="1"/>
  <c r="D67" i="1"/>
  <c r="D68" i="1" s="1"/>
  <c r="C26" i="1"/>
  <c r="C68" i="1" l="1"/>
  <c r="E67" i="1"/>
  <c r="E26" i="1"/>
  <c r="E68" i="1" s="1"/>
  <c r="F26" i="1"/>
  <c r="G26" i="1"/>
  <c r="H26" i="1"/>
  <c r="B25" i="1"/>
  <c r="A25" i="1"/>
  <c r="G81" i="1" l="1"/>
  <c r="G90" i="1"/>
  <c r="G91" i="1" s="1"/>
  <c r="H67" i="1" l="1"/>
  <c r="H68" i="1" l="1"/>
  <c r="G67" i="1"/>
  <c r="F67" i="1"/>
  <c r="F68" i="1" l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9" i="1"/>
  <c r="B49" i="1"/>
  <c r="A50" i="1"/>
  <c r="B50" i="1"/>
  <c r="A51" i="1"/>
  <c r="B51" i="1"/>
  <c r="A52" i="1"/>
  <c r="B52" i="1"/>
  <c r="A54" i="1"/>
  <c r="B54" i="1"/>
  <c r="A55" i="1"/>
  <c r="B55" i="1"/>
  <c r="A56" i="1"/>
  <c r="B56" i="1"/>
  <c r="A57" i="1"/>
  <c r="B57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G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Flemming Lindbaum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Sat til 55.000,- da vi skal sikre at ALT kommer med.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Der er ingen fælles lejr i år.</t>
        </r>
      </text>
    </comment>
    <comment ref="E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Junior skal på sommerlejr</t>
        </r>
      </text>
    </comment>
    <comment ref="E13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Trop og Klan skal til udlandet</t>
        </r>
      </text>
    </comment>
    <comment ref="E16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Vi har pt. ingen fondsønsker</t>
        </r>
      </text>
    </comment>
    <comment ref="C3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Selvfinansiering + 5000,- til div</t>
        </r>
      </text>
    </comment>
    <comment ref="E30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Det samme er gældende for udgifterne - ingen fælles lejr, Junior, Trop og Klan skal på sommerlejr</t>
        </r>
      </text>
    </comment>
    <comment ref="C32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Selvfinansiering + 10.000,- til møder</t>
        </r>
      </text>
    </comment>
    <comment ref="C3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Selvfinansiering + 10.000,- til møder</t>
        </r>
      </text>
    </comment>
    <comment ref="C3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Selvfinansiering + 10.000,- til møder + 2000,- til sommerlejr</t>
        </r>
      </text>
    </comment>
    <comment ref="C35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Bliver ikke aktuel, hvis Klan ikke forsætter</t>
        </r>
      </text>
    </comment>
    <comment ref="C3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Reduceret med 5000,-</t>
        </r>
      </text>
    </comment>
    <comment ref="C40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Reduceret til 3500,- .. Spejderne skal selv betale mærker som ikke er fra DDS</t>
        </r>
      </text>
    </comment>
    <comment ref="E5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Flemming Lindbaum:</t>
        </r>
        <r>
          <rPr>
            <sz val="9"/>
            <color indexed="81"/>
            <rFont val="Tahoma"/>
            <charset val="1"/>
          </rPr>
          <t xml:space="preserve">
Vi forventer ingen udgifter til Skovhytten, da den er overdraget til Kommunen</t>
        </r>
      </text>
    </comment>
  </commentList>
</comments>
</file>

<file path=xl/sharedStrings.xml><?xml version="1.0" encoding="utf-8"?>
<sst xmlns="http://schemas.openxmlformats.org/spreadsheetml/2006/main" count="48" uniqueCount="47">
  <si>
    <t>Kontonr.</t>
  </si>
  <si>
    <t>Kontonavn.</t>
  </si>
  <si>
    <t>Indtægter</t>
  </si>
  <si>
    <t>Indtægter i alt</t>
  </si>
  <si>
    <t>Udgifter</t>
  </si>
  <si>
    <t>Gyvelhytten</t>
  </si>
  <si>
    <t>Skovhytten</t>
  </si>
  <si>
    <t>Udg. til pengeskabende akt.</t>
  </si>
  <si>
    <t>Udgifter i alt</t>
  </si>
  <si>
    <t>Resultat</t>
  </si>
  <si>
    <t>Totalbanken 6880 7010134</t>
  </si>
  <si>
    <t>Totalbanken 6880 1205946</t>
  </si>
  <si>
    <t>Totalbanken 6880 4118542</t>
  </si>
  <si>
    <t>Kasse</t>
  </si>
  <si>
    <t>Tilgodehavende kontingent</t>
  </si>
  <si>
    <t>Rådighedsbeløb</t>
  </si>
  <si>
    <t>Andre tilgodehavender</t>
  </si>
  <si>
    <t>Inventar og materiel</t>
  </si>
  <si>
    <t>Gyvelhytten - ejendomsværdi</t>
  </si>
  <si>
    <t>Skovhytten - ejendomsværdi</t>
  </si>
  <si>
    <t>Aktiver</t>
  </si>
  <si>
    <t>Passiver</t>
  </si>
  <si>
    <t>Gæld til korps og division</t>
  </si>
  <si>
    <t>Andre skyldige omkostninger</t>
  </si>
  <si>
    <t>Bankgæld</t>
  </si>
  <si>
    <t>Prioritetsgæld</t>
  </si>
  <si>
    <t>Hensættelser</t>
  </si>
  <si>
    <t>Saldo ved årets start</t>
  </si>
  <si>
    <t>Årest resultat</t>
  </si>
  <si>
    <t>Formue</t>
  </si>
  <si>
    <t>Passiver i alt</t>
  </si>
  <si>
    <t>Aktiver i alt</t>
  </si>
  <si>
    <t>sommerlejr 3000</t>
  </si>
  <si>
    <t>Sommerlejr 3000</t>
  </si>
  <si>
    <t>Sommerlejr 8000</t>
  </si>
  <si>
    <t>Sommerlejr 10000</t>
  </si>
  <si>
    <t>Hævet med 10K fra sommerlejr opsparing</t>
  </si>
  <si>
    <t>Fødselsdag, sommerlejr, sommerfest, Juletur</t>
  </si>
  <si>
    <t>Kommentar</t>
  </si>
  <si>
    <t>Budget_2017</t>
  </si>
  <si>
    <t>Realiseret_2016</t>
  </si>
  <si>
    <t>Journalkonto</t>
  </si>
  <si>
    <t>Budget_2018</t>
  </si>
  <si>
    <t>Realiseret_2017</t>
  </si>
  <si>
    <t>Diverse indtægter</t>
  </si>
  <si>
    <t>Resultat_2018</t>
  </si>
  <si>
    <t>Budget_2019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</si>
</sst>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64" fontId="0" fillId="0" borderId="0" xfId="1" applyFont="1"/>
    <xf numFmtId="0" fontId="0" fillId="0" borderId="0" xfId="0" applyAlignment="1">
      <alignment horizontal="right"/>
    </xf>
    <xf numFmtId="0" fontId="18" fillId="0" borderId="0" xfId="0" applyFont="1"/>
    <xf numFmtId="164" fontId="18" fillId="0" borderId="0" xfId="0" applyNumberFormat="1" applyFont="1"/>
    <xf numFmtId="0" fontId="0" fillId="33" borderId="0" xfId="0" applyFill="1" applyAlignment="1">
      <alignment horizontal="right"/>
    </xf>
    <xf numFmtId="0" fontId="0" fillId="33" borderId="0" xfId="0" applyFill="1"/>
    <xf numFmtId="0" fontId="18" fillId="0" borderId="0" xfId="0" applyFont="1" applyAlignment="1">
      <alignment horizontal="right"/>
    </xf>
    <xf numFmtId="0" fontId="0" fillId="33" borderId="0" xfId="0" applyFill="1" applyAlignment="1">
      <alignment horizontal="center" vertical="center"/>
    </xf>
    <xf numFmtId="0" fontId="0" fillId="34" borderId="0" xfId="0" applyFill="1"/>
    <xf numFmtId="164" fontId="0" fillId="0" borderId="0" xfId="1" applyFont="1" applyFill="1" applyBorder="1"/>
    <xf numFmtId="0" fontId="0" fillId="0" borderId="0" xfId="0" applyAlignment="1">
      <alignment wrapText="1"/>
    </xf>
    <xf numFmtId="0" fontId="0" fillId="34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164" fontId="0" fillId="0" borderId="0" xfId="1" applyFont="1" applyAlignment="1">
      <alignment wrapText="1"/>
    </xf>
    <xf numFmtId="164" fontId="0" fillId="0" borderId="0" xfId="1" applyFont="1" applyFill="1" applyBorder="1" applyAlignment="1">
      <alignment wrapText="1"/>
    </xf>
    <xf numFmtId="164" fontId="18" fillId="0" borderId="0" xfId="0" applyNumberFormat="1" applyFont="1" applyAlignment="1">
      <alignment wrapText="1"/>
    </xf>
    <xf numFmtId="164" fontId="18" fillId="0" borderId="0" xfId="1" applyFont="1"/>
    <xf numFmtId="0" fontId="16" fillId="33" borderId="0" xfId="0" applyFont="1" applyFill="1" applyAlignment="1">
      <alignment horizontal="left"/>
    </xf>
  </cellXfs>
  <cellStyles count="43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Neutral" xfId="9" builtinId="28" customBuiltin="1"/>
    <cellStyle name="Normal" xfId="0" builtinId="0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0" sqref="B30"/>
    </sheetView>
  </sheetViews>
  <sheetFormatPr baseColWidth="10" defaultColWidth="8.83203125" defaultRowHeight="15" x14ac:dyDescent="0.2"/>
  <cols>
    <col min="1" max="1" width="8.1640625" style="2" bestFit="1" customWidth="1"/>
    <col min="2" max="2" width="26.83203125" bestFit="1" customWidth="1"/>
    <col min="3" max="3" width="18.1640625" customWidth="1"/>
    <col min="4" max="4" width="18.6640625" customWidth="1"/>
    <col min="5" max="5" width="14.5" bestFit="1" customWidth="1"/>
    <col min="6" max="7" width="15.1640625" bestFit="1" customWidth="1"/>
    <col min="8" max="8" width="14.5" bestFit="1" customWidth="1"/>
    <col min="9" max="9" width="17.5" style="11" hidden="1" customWidth="1"/>
    <col min="12" max="12" width="12.33203125" bestFit="1" customWidth="1"/>
  </cols>
  <sheetData>
    <row r="1" spans="1:12" ht="16" x14ac:dyDescent="0.2">
      <c r="A1" s="5" t="s">
        <v>0</v>
      </c>
      <c r="B1" s="6" t="s">
        <v>1</v>
      </c>
      <c r="C1" s="6" t="s">
        <v>46</v>
      </c>
      <c r="D1" s="6" t="s">
        <v>45</v>
      </c>
      <c r="E1" s="6" t="s">
        <v>42</v>
      </c>
      <c r="F1" s="8" t="s">
        <v>43</v>
      </c>
      <c r="G1" s="8" t="s">
        <v>40</v>
      </c>
      <c r="H1" s="8" t="s">
        <v>39</v>
      </c>
      <c r="I1" s="13" t="s">
        <v>38</v>
      </c>
    </row>
    <row r="2" spans="1:12" x14ac:dyDescent="0.2">
      <c r="A2" s="5">
        <v>1000</v>
      </c>
      <c r="B2" s="18" t="s">
        <v>2</v>
      </c>
      <c r="C2" s="18"/>
      <c r="D2" s="18"/>
      <c r="E2" s="18"/>
      <c r="F2" s="18"/>
      <c r="G2" s="18"/>
      <c r="H2" s="18"/>
    </row>
    <row r="3" spans="1:12" x14ac:dyDescent="0.2">
      <c r="A3" s="2" t="str">
        <f>"1001"</f>
        <v>1001</v>
      </c>
      <c r="B3" t="str">
        <f>"Medlemskontingent"</f>
        <v>Medlemskontingent</v>
      </c>
      <c r="C3" s="1">
        <v>35000</v>
      </c>
      <c r="D3">
        <v>39000</v>
      </c>
      <c r="E3" s="1">
        <v>35000</v>
      </c>
      <c r="F3" s="1">
        <v>35992.71</v>
      </c>
      <c r="G3" s="1">
        <v>36369.629999999997</v>
      </c>
      <c r="H3" s="1">
        <v>35000</v>
      </c>
      <c r="I3" s="14"/>
    </row>
    <row r="4" spans="1:12" x14ac:dyDescent="0.2">
      <c r="A4" s="2" t="str">
        <f>"1002"</f>
        <v>1002</v>
      </c>
      <c r="B4" t="str">
        <f>"Lederkontingent"</f>
        <v>Lederkontingent</v>
      </c>
      <c r="C4" s="1">
        <v>1000</v>
      </c>
      <c r="D4">
        <v>975</v>
      </c>
      <c r="E4" s="1">
        <v>1200</v>
      </c>
      <c r="F4" s="1">
        <v>1050</v>
      </c>
      <c r="G4" s="1">
        <v>1275</v>
      </c>
      <c r="H4" s="1">
        <v>1200</v>
      </c>
      <c r="I4" s="14"/>
    </row>
    <row r="5" spans="1:12" x14ac:dyDescent="0.2">
      <c r="A5" s="2" t="str">
        <f>"1005"</f>
        <v>1005</v>
      </c>
      <c r="B5" t="str">
        <f>"indmeldelsesgebyr"</f>
        <v>indmeldelsesgebyr</v>
      </c>
      <c r="C5" s="1">
        <v>1000</v>
      </c>
      <c r="D5">
        <v>1100</v>
      </c>
      <c r="E5" s="1">
        <v>1500</v>
      </c>
      <c r="F5" s="1">
        <v>1500</v>
      </c>
      <c r="G5" s="1">
        <v>1400</v>
      </c>
      <c r="H5" s="1">
        <v>1500</v>
      </c>
      <c r="I5" s="14"/>
    </row>
    <row r="6" spans="1:12" x14ac:dyDescent="0.2">
      <c r="A6" s="2" t="str">
        <f>"1010"</f>
        <v>1010</v>
      </c>
      <c r="B6" t="str">
        <f>"Lokaletilskud"</f>
        <v>Lokaletilskud</v>
      </c>
      <c r="C6" s="1">
        <v>55000</v>
      </c>
      <c r="D6">
        <v>48849</v>
      </c>
      <c r="E6" s="1">
        <v>70000</v>
      </c>
      <c r="F6" s="1">
        <v>65362.63</v>
      </c>
      <c r="G6" s="1">
        <v>72697.09</v>
      </c>
      <c r="H6" s="1">
        <v>50000</v>
      </c>
      <c r="I6" s="14"/>
    </row>
    <row r="7" spans="1:12" x14ac:dyDescent="0.2">
      <c r="A7" s="2" t="str">
        <f>"1011"</f>
        <v>1011</v>
      </c>
      <c r="B7" t="str">
        <f>"Aktivitets-/medlemstilskud"</f>
        <v>Aktivitets-/medlemstilskud</v>
      </c>
      <c r="C7" s="1">
        <v>11000</v>
      </c>
      <c r="D7">
        <v>11155</v>
      </c>
      <c r="E7" s="1">
        <v>11000</v>
      </c>
      <c r="F7" s="1">
        <v>10835</v>
      </c>
      <c r="G7" s="1">
        <v>11424</v>
      </c>
      <c r="H7" s="1">
        <v>11000</v>
      </c>
      <c r="I7" s="14"/>
    </row>
    <row r="8" spans="1:12" x14ac:dyDescent="0.2">
      <c r="A8" s="2" t="str">
        <f>"1013"</f>
        <v>1013</v>
      </c>
      <c r="B8" t="str">
        <f>"Andre offentlige tilskud"</f>
        <v>Andre offentlige tilskud</v>
      </c>
      <c r="C8" s="1">
        <v>0</v>
      </c>
      <c r="D8">
        <v>0</v>
      </c>
      <c r="E8" s="1">
        <v>0</v>
      </c>
      <c r="F8" s="1">
        <v>0</v>
      </c>
      <c r="G8" s="1">
        <v>1758</v>
      </c>
      <c r="H8" s="1">
        <v>0</v>
      </c>
      <c r="I8" s="14"/>
    </row>
    <row r="9" spans="1:12" ht="14.5" customHeight="1" x14ac:dyDescent="0.2">
      <c r="A9" s="2" t="str">
        <f>"1020"</f>
        <v>1020</v>
      </c>
      <c r="B9" t="str">
        <f>"Arr., ture og lejre, Fælles"</f>
        <v>Arr., ture og lejre, Fælles</v>
      </c>
      <c r="C9" s="1">
        <v>25000</v>
      </c>
      <c r="E9" s="1">
        <v>10000</v>
      </c>
      <c r="F9" s="1">
        <v>42306</v>
      </c>
      <c r="G9" s="1">
        <v>57449.5</v>
      </c>
      <c r="H9" s="1">
        <v>55000</v>
      </c>
      <c r="I9" s="14" t="s">
        <v>36</v>
      </c>
      <c r="L9" s="1">
        <v>12000</v>
      </c>
    </row>
    <row r="10" spans="1:12" ht="16" x14ac:dyDescent="0.2">
      <c r="A10" s="2" t="str">
        <f>"1022"</f>
        <v>1022</v>
      </c>
      <c r="B10" t="str">
        <f>"Arr., ture og lejre, Mikro"</f>
        <v>Arr., ture og lejre, Mikro</v>
      </c>
      <c r="C10" s="1">
        <v>750</v>
      </c>
      <c r="E10" s="1">
        <v>500</v>
      </c>
      <c r="F10" s="1">
        <v>590</v>
      </c>
      <c r="G10" s="1">
        <v>1250</v>
      </c>
      <c r="H10" s="1">
        <v>1000</v>
      </c>
      <c r="I10" s="14" t="s">
        <v>33</v>
      </c>
      <c r="L10" s="1">
        <v>500</v>
      </c>
    </row>
    <row r="11" spans="1:12" ht="16" x14ac:dyDescent="0.2">
      <c r="A11" s="2" t="str">
        <f>"1024"</f>
        <v>1024</v>
      </c>
      <c r="B11" t="str">
        <f>"Arr., ture og lejre, Mini"</f>
        <v>Arr., ture og lejre, Mini</v>
      </c>
      <c r="C11" s="1">
        <v>7000</v>
      </c>
      <c r="E11" s="1">
        <v>3000</v>
      </c>
      <c r="F11" s="1">
        <v>4610</v>
      </c>
      <c r="G11" s="1">
        <v>3795</v>
      </c>
      <c r="H11" s="1">
        <v>4000</v>
      </c>
      <c r="I11" s="14" t="s">
        <v>32</v>
      </c>
      <c r="L11" s="1">
        <v>7000</v>
      </c>
    </row>
    <row r="12" spans="1:12" ht="16" x14ac:dyDescent="0.2">
      <c r="A12" s="2" t="str">
        <f>"1026"</f>
        <v>1026</v>
      </c>
      <c r="B12" t="str">
        <f>"Arr., ture og lejre, Junior"</f>
        <v>Arr., ture og lejre, Junior</v>
      </c>
      <c r="C12" s="1">
        <v>15000</v>
      </c>
      <c r="E12" s="1">
        <v>15000</v>
      </c>
      <c r="F12" s="1">
        <v>4012.56</v>
      </c>
      <c r="G12" s="1">
        <v>8547.5</v>
      </c>
      <c r="H12" s="1">
        <v>10000</v>
      </c>
      <c r="I12" s="14" t="s">
        <v>34</v>
      </c>
      <c r="L12" s="1">
        <v>15000</v>
      </c>
    </row>
    <row r="13" spans="1:12" ht="16" x14ac:dyDescent="0.2">
      <c r="A13" s="2" t="str">
        <f>"1028"</f>
        <v>1028</v>
      </c>
      <c r="B13" t="str">
        <f>"Arr., ture og lejre, Trop"</f>
        <v>Arr., ture og lejre, Trop</v>
      </c>
      <c r="C13" s="1">
        <v>25000</v>
      </c>
      <c r="E13" s="1">
        <v>30000</v>
      </c>
      <c r="F13" s="1">
        <v>28408</v>
      </c>
      <c r="G13" s="1">
        <v>29914.5</v>
      </c>
      <c r="H13" s="1">
        <v>30000</v>
      </c>
      <c r="I13" s="14" t="s">
        <v>35</v>
      </c>
      <c r="L13" s="1">
        <v>20000</v>
      </c>
    </row>
    <row r="14" spans="1:12" x14ac:dyDescent="0.2">
      <c r="A14" s="2" t="str">
        <f>"1029"</f>
        <v>1029</v>
      </c>
      <c r="B14" t="str">
        <f>"Arr., ture og lejre, Klan"</f>
        <v>Arr., ture og lejre, Klan</v>
      </c>
      <c r="C14" s="1">
        <v>500</v>
      </c>
      <c r="E14" s="1">
        <v>4000</v>
      </c>
      <c r="F14" s="1">
        <v>0</v>
      </c>
      <c r="G14" s="1">
        <v>450</v>
      </c>
      <c r="H14" s="1">
        <v>500</v>
      </c>
      <c r="I14" s="14"/>
      <c r="L14" s="1">
        <v>500</v>
      </c>
    </row>
    <row r="15" spans="1:12" x14ac:dyDescent="0.2">
      <c r="A15" s="2" t="str">
        <f>"1039"</f>
        <v>1039</v>
      </c>
      <c r="B15" t="str">
        <f>"Arr./aktiviteter, Leder/Best."</f>
        <v>Arr./aktiviteter, Leder/Best.</v>
      </c>
      <c r="C15" s="1"/>
      <c r="E15" s="1">
        <v>0</v>
      </c>
      <c r="F15" s="1">
        <v>1</v>
      </c>
      <c r="G15" s="1">
        <v>346</v>
      </c>
      <c r="H15" s="1">
        <v>0</v>
      </c>
      <c r="I15" s="14"/>
    </row>
    <row r="16" spans="1:12" x14ac:dyDescent="0.2">
      <c r="A16" s="2" t="str">
        <f>"1040"</f>
        <v>1040</v>
      </c>
      <c r="B16" t="str">
        <f>"Gaver/støtteforening"</f>
        <v>Gaver/støtteforening</v>
      </c>
      <c r="C16" s="1">
        <v>0</v>
      </c>
      <c r="E16" s="1">
        <v>0</v>
      </c>
      <c r="F16" s="1">
        <v>24290.75</v>
      </c>
      <c r="G16" s="1">
        <v>16604</v>
      </c>
      <c r="H16" s="1">
        <v>15000</v>
      </c>
      <c r="I16" s="14"/>
    </row>
    <row r="17" spans="1:12" x14ac:dyDescent="0.2">
      <c r="A17" s="2">
        <v>1050</v>
      </c>
      <c r="B17" t="s">
        <v>44</v>
      </c>
      <c r="C17" s="1">
        <v>0</v>
      </c>
      <c r="E17" s="1">
        <v>0</v>
      </c>
      <c r="F17" s="1">
        <v>0</v>
      </c>
      <c r="G17" s="1">
        <v>0</v>
      </c>
      <c r="H17" s="1">
        <v>200</v>
      </c>
      <c r="I17" s="14"/>
    </row>
    <row r="18" spans="1:12" x14ac:dyDescent="0.2">
      <c r="A18" s="2" t="str">
        <f>"1051"</f>
        <v>1051</v>
      </c>
      <c r="B18" t="str">
        <f>"Lodsedler"</f>
        <v>Lodsedler</v>
      </c>
      <c r="C18" s="1">
        <v>25000</v>
      </c>
      <c r="E18" s="1">
        <v>25000</v>
      </c>
      <c r="F18" s="1">
        <v>24988</v>
      </c>
      <c r="G18" s="1">
        <v>11891</v>
      </c>
      <c r="H18" s="1">
        <v>15000</v>
      </c>
      <c r="I18" s="15"/>
    </row>
    <row r="19" spans="1:12" x14ac:dyDescent="0.2">
      <c r="A19" s="2" t="str">
        <f>"1052"</f>
        <v>1052</v>
      </c>
      <c r="B19" t="str">
        <f>"Blomsterløg"</f>
        <v>Blomsterløg</v>
      </c>
      <c r="C19" s="1">
        <v>10000</v>
      </c>
      <c r="E19" s="1">
        <v>10000</v>
      </c>
      <c r="F19" s="1">
        <v>13507</v>
      </c>
      <c r="G19" s="1">
        <v>19047.45</v>
      </c>
      <c r="H19" s="1">
        <v>18000</v>
      </c>
      <c r="I19" s="15"/>
    </row>
    <row r="20" spans="1:12" x14ac:dyDescent="0.2">
      <c r="A20" s="2" t="str">
        <f>"1054"</f>
        <v>1054</v>
      </c>
      <c r="B20" t="str">
        <f>"Flagalle´"</f>
        <v>Flagalle´</v>
      </c>
      <c r="C20" s="1">
        <v>3000</v>
      </c>
      <c r="E20" s="1">
        <v>3000</v>
      </c>
      <c r="F20" s="1">
        <v>3600</v>
      </c>
      <c r="G20" s="1">
        <v>6000</v>
      </c>
      <c r="H20" s="1">
        <v>2400</v>
      </c>
      <c r="I20" s="15"/>
    </row>
    <row r="21" spans="1:12" x14ac:dyDescent="0.2">
      <c r="A21" s="2" t="str">
        <f>"1056"</f>
        <v>1056</v>
      </c>
      <c r="B21" t="str">
        <f>"Bryggeriet"</f>
        <v>Bryggeriet</v>
      </c>
      <c r="C21" s="1">
        <v>7500</v>
      </c>
      <c r="E21" s="1">
        <v>15000</v>
      </c>
      <c r="F21" s="1">
        <v>13150</v>
      </c>
      <c r="G21" s="1">
        <v>15270</v>
      </c>
      <c r="H21" s="1">
        <v>15000</v>
      </c>
      <c r="I21" s="15"/>
    </row>
    <row r="22" spans="1:12" x14ac:dyDescent="0.2">
      <c r="A22" s="2" t="str">
        <f>"1057"</f>
        <v>1057</v>
      </c>
      <c r="B22" t="str">
        <f>"Gelsted Marked"</f>
        <v>Gelsted Marked</v>
      </c>
      <c r="C22" s="1">
        <v>5000</v>
      </c>
      <c r="E22" s="1">
        <v>5000</v>
      </c>
      <c r="F22" s="1">
        <v>5000</v>
      </c>
      <c r="G22" s="1">
        <v>5079</v>
      </c>
      <c r="H22" s="1">
        <v>5000</v>
      </c>
      <c r="I22" s="15"/>
    </row>
    <row r="23" spans="1:12" x14ac:dyDescent="0.2">
      <c r="A23" s="2" t="str">
        <f>"1058"</f>
        <v>1058</v>
      </c>
      <c r="B23" t="str">
        <f>"Julekalendere"</f>
        <v>Julekalendere</v>
      </c>
      <c r="C23" s="1">
        <v>6000</v>
      </c>
      <c r="E23" s="1">
        <v>6000</v>
      </c>
      <c r="F23" s="1">
        <v>6826</v>
      </c>
      <c r="G23" s="1">
        <v>6130</v>
      </c>
      <c r="H23" s="1">
        <v>6000</v>
      </c>
      <c r="I23" s="15"/>
    </row>
    <row r="24" spans="1:12" x14ac:dyDescent="0.2">
      <c r="A24" s="2" t="str">
        <f>"1059"</f>
        <v>1059</v>
      </c>
      <c r="B24" t="str">
        <f>"Diverse"</f>
        <v>Diverse</v>
      </c>
      <c r="C24" s="1">
        <v>0</v>
      </c>
      <c r="E24" s="1">
        <v>0</v>
      </c>
      <c r="F24" s="1">
        <v>0</v>
      </c>
      <c r="G24" s="1">
        <v>132.53</v>
      </c>
      <c r="H24" s="1">
        <v>500</v>
      </c>
      <c r="I24" s="15"/>
    </row>
    <row r="25" spans="1:12" x14ac:dyDescent="0.2">
      <c r="A25" s="2" t="str">
        <f>"1060"</f>
        <v>1060</v>
      </c>
      <c r="B25" t="str">
        <f>"Renter"</f>
        <v>Renter</v>
      </c>
      <c r="C25" s="1">
        <v>0</v>
      </c>
      <c r="E25" s="1">
        <v>0</v>
      </c>
      <c r="F25" s="1">
        <v>12</v>
      </c>
      <c r="G25" s="1">
        <v>64.73</v>
      </c>
      <c r="H25" s="1">
        <v>0</v>
      </c>
      <c r="I25" s="14"/>
    </row>
    <row r="26" spans="1:12" x14ac:dyDescent="0.2">
      <c r="A26" s="2">
        <v>1998</v>
      </c>
      <c r="B26" s="3" t="s">
        <v>3</v>
      </c>
      <c r="C26" s="17">
        <f>SUM(C3:C25)</f>
        <v>232750</v>
      </c>
      <c r="D26" s="3"/>
      <c r="E26" s="17">
        <f>SUM(E3:E25)</f>
        <v>245200</v>
      </c>
      <c r="F26" s="4">
        <f>SUM(F3:F25)</f>
        <v>286041.65000000002</v>
      </c>
      <c r="G26" s="4">
        <f>SUM(G3:G25)</f>
        <v>306894.93</v>
      </c>
      <c r="H26" s="4">
        <f>SUM(H3:H25)</f>
        <v>276300</v>
      </c>
      <c r="I26" s="16"/>
    </row>
    <row r="27" spans="1:12" x14ac:dyDescent="0.2">
      <c r="A27" s="5">
        <v>1999</v>
      </c>
      <c r="B27" s="18" t="s">
        <v>4</v>
      </c>
      <c r="C27" s="18"/>
      <c r="D27" s="18"/>
      <c r="E27" s="18"/>
      <c r="F27" s="18"/>
      <c r="G27" s="18"/>
      <c r="H27" s="18"/>
    </row>
    <row r="28" spans="1:12" x14ac:dyDescent="0.2">
      <c r="A28" s="2" t="str">
        <f>"2000"</f>
        <v>2000</v>
      </c>
      <c r="B28" t="str">
        <f>"Korpskontingent"</f>
        <v>Korpskontingent</v>
      </c>
      <c r="C28" s="10">
        <v>20000</v>
      </c>
      <c r="E28" s="1">
        <v>20000</v>
      </c>
      <c r="F28" s="1">
        <v>19541.25</v>
      </c>
      <c r="G28" s="1">
        <v>20049.25</v>
      </c>
      <c r="H28" s="1">
        <v>20000</v>
      </c>
      <c r="I28" s="15"/>
    </row>
    <row r="29" spans="1:12" x14ac:dyDescent="0.2">
      <c r="A29" s="2" t="str">
        <f>"2010"</f>
        <v>2010</v>
      </c>
      <c r="B29" t="str">
        <f>"Divisionskontingent"</f>
        <v>Divisionskontingent</v>
      </c>
      <c r="C29" s="10">
        <v>3200</v>
      </c>
      <c r="E29" s="1">
        <v>3200</v>
      </c>
      <c r="F29" s="1">
        <v>3250</v>
      </c>
      <c r="G29" s="1">
        <v>3290</v>
      </c>
      <c r="H29" s="1">
        <v>3200</v>
      </c>
      <c r="I29" s="15"/>
      <c r="L29" s="10">
        <v>35000</v>
      </c>
    </row>
    <row r="30" spans="1:12" ht="15.75" customHeight="1" x14ac:dyDescent="0.2">
      <c r="A30" s="2" t="str">
        <f>"2020"</f>
        <v>2020</v>
      </c>
      <c r="B30" t="str">
        <f>"Arr., ture og lejre, Fælles"</f>
        <v>Arr., ture og lejre, Fælles</v>
      </c>
      <c r="C30" s="10">
        <v>30000</v>
      </c>
      <c r="E30" s="1">
        <v>35000</v>
      </c>
      <c r="F30" s="1">
        <v>115043.36</v>
      </c>
      <c r="G30" s="1">
        <v>84530.07</v>
      </c>
      <c r="H30" s="1">
        <v>110000</v>
      </c>
      <c r="I30" s="15" t="s">
        <v>37</v>
      </c>
      <c r="L30" s="10">
        <v>1500</v>
      </c>
    </row>
    <row r="31" spans="1:12" x14ac:dyDescent="0.2">
      <c r="A31" s="2" t="str">
        <f>"2022"</f>
        <v>2022</v>
      </c>
      <c r="B31" t="str">
        <f>"Arr., ture og lejre, Mikro"</f>
        <v>Arr., ture og lejre, Mikro</v>
      </c>
      <c r="C31" s="10">
        <v>1500</v>
      </c>
      <c r="E31" s="1">
        <v>2000</v>
      </c>
      <c r="F31" s="1">
        <v>1366.75</v>
      </c>
      <c r="G31" s="1">
        <v>3424.35</v>
      </c>
      <c r="H31" s="1">
        <v>2500</v>
      </c>
      <c r="I31" s="15"/>
      <c r="L31" s="10">
        <v>15000</v>
      </c>
    </row>
    <row r="32" spans="1:12" x14ac:dyDescent="0.2">
      <c r="A32" s="2" t="str">
        <f>"2024"</f>
        <v>2024</v>
      </c>
      <c r="B32" t="str">
        <f>"Arr., ture og lejre, Mini"</f>
        <v>Arr., ture og lejre, Mini</v>
      </c>
      <c r="C32" s="10">
        <v>17000</v>
      </c>
      <c r="E32" s="1">
        <v>7000</v>
      </c>
      <c r="F32" s="1">
        <v>7731.74</v>
      </c>
      <c r="G32" s="1">
        <v>4746.9799999999996</v>
      </c>
      <c r="H32" s="1">
        <v>5000</v>
      </c>
      <c r="I32" s="15"/>
      <c r="L32" s="10">
        <v>25000</v>
      </c>
    </row>
    <row r="33" spans="1:12" x14ac:dyDescent="0.2">
      <c r="A33" s="2" t="str">
        <f>"2026"</f>
        <v>2026</v>
      </c>
      <c r="B33" t="str">
        <f>"Arr., ture og lejre, Junior"</f>
        <v>Arr., ture og lejre, Junior</v>
      </c>
      <c r="C33" s="10">
        <v>25000</v>
      </c>
      <c r="E33" s="1">
        <v>13000</v>
      </c>
      <c r="F33" s="1">
        <v>6389.89</v>
      </c>
      <c r="G33" s="1">
        <v>11674.6</v>
      </c>
      <c r="H33" s="1">
        <v>13000</v>
      </c>
      <c r="I33" s="15"/>
      <c r="L33" s="10">
        <v>35000</v>
      </c>
    </row>
    <row r="34" spans="1:12" x14ac:dyDescent="0.2">
      <c r="A34" s="2" t="str">
        <f>"2028"</f>
        <v>2028</v>
      </c>
      <c r="B34" t="str">
        <f>"Arr., ture og lejre, Trop"</f>
        <v>Arr., ture og lejre, Trop</v>
      </c>
      <c r="C34" s="10">
        <v>37000</v>
      </c>
      <c r="E34" s="1">
        <v>40000</v>
      </c>
      <c r="F34" s="1">
        <v>30736.14</v>
      </c>
      <c r="G34" s="1">
        <v>35699.599999999999</v>
      </c>
      <c r="H34" s="1">
        <v>35000</v>
      </c>
      <c r="I34" s="15"/>
      <c r="L34" s="10">
        <v>5000</v>
      </c>
    </row>
    <row r="35" spans="1:12" x14ac:dyDescent="0.2">
      <c r="A35" s="2" t="str">
        <f>"2029"</f>
        <v>2029</v>
      </c>
      <c r="B35" t="str">
        <f>"Arr., ture og lejre, Klan"</f>
        <v>Arr., ture og lejre, Klan</v>
      </c>
      <c r="C35" s="10">
        <v>5000</v>
      </c>
      <c r="E35" s="1">
        <v>5000</v>
      </c>
      <c r="F35" s="1">
        <v>839</v>
      </c>
      <c r="G35" s="1">
        <v>450</v>
      </c>
      <c r="H35" s="1">
        <v>500</v>
      </c>
      <c r="I35" s="15"/>
      <c r="L35" s="10">
        <v>10000</v>
      </c>
    </row>
    <row r="36" spans="1:12" x14ac:dyDescent="0.2">
      <c r="A36" s="2" t="str">
        <f>"2039"</f>
        <v>2039</v>
      </c>
      <c r="B36" t="str">
        <f>"Arr., ture og lejre, Leder/Best"</f>
        <v>Arr., ture og lejre, Leder/Best</v>
      </c>
      <c r="C36" s="10">
        <v>5000</v>
      </c>
      <c r="E36" s="1">
        <v>10000</v>
      </c>
      <c r="F36" s="1">
        <v>8999.18</v>
      </c>
      <c r="G36" s="1">
        <v>11805.63</v>
      </c>
      <c r="H36" s="1">
        <v>10000</v>
      </c>
      <c r="I36" s="15"/>
    </row>
    <row r="37" spans="1:12" x14ac:dyDescent="0.2">
      <c r="A37" s="2" t="str">
        <f>"2040"</f>
        <v>2040</v>
      </c>
      <c r="B37" t="str">
        <f>"Kurser"</f>
        <v>Kurser</v>
      </c>
      <c r="C37" s="10">
        <v>5000</v>
      </c>
      <c r="E37" s="1">
        <v>15000</v>
      </c>
      <c r="F37" s="1">
        <v>12300</v>
      </c>
      <c r="G37" s="1">
        <v>13360</v>
      </c>
      <c r="H37" s="1">
        <v>17000</v>
      </c>
      <c r="I37" s="15"/>
    </row>
    <row r="38" spans="1:12" x14ac:dyDescent="0.2">
      <c r="A38" s="2" t="str">
        <f>"2041"</f>
        <v>2041</v>
      </c>
      <c r="B38" t="str">
        <f>"Kørselsgodtgørelse"</f>
        <v>Kørselsgodtgørelse</v>
      </c>
      <c r="C38" s="10">
        <v>0</v>
      </c>
      <c r="E38" s="1">
        <v>1500</v>
      </c>
      <c r="F38" s="1">
        <v>0</v>
      </c>
      <c r="G38" s="1">
        <v>1128</v>
      </c>
      <c r="H38" s="1">
        <v>1000</v>
      </c>
      <c r="I38" s="15"/>
    </row>
    <row r="39" spans="1:12" x14ac:dyDescent="0.2">
      <c r="A39" s="2" t="str">
        <f>"2050"</f>
        <v>2050</v>
      </c>
      <c r="B39" t="str">
        <f>"Administration"</f>
        <v>Administration</v>
      </c>
      <c r="C39" s="10">
        <v>6000</v>
      </c>
      <c r="E39" s="1">
        <v>6000</v>
      </c>
      <c r="F39" s="1">
        <v>6767.24</v>
      </c>
      <c r="G39" s="1">
        <v>7352.91</v>
      </c>
      <c r="H39" s="1">
        <v>6000</v>
      </c>
      <c r="I39" s="15"/>
    </row>
    <row r="40" spans="1:12" x14ac:dyDescent="0.2">
      <c r="A40" s="2" t="str">
        <f>"2051"</f>
        <v>2051</v>
      </c>
      <c r="B40" t="str">
        <f>"Blade og mærker"</f>
        <v>Blade og mærker</v>
      </c>
      <c r="C40" s="10">
        <v>3500</v>
      </c>
      <c r="E40" s="1">
        <v>3000</v>
      </c>
      <c r="F40" s="1">
        <v>5423.91</v>
      </c>
      <c r="G40" s="1">
        <v>10405.66</v>
      </c>
      <c r="H40" s="1">
        <v>2000</v>
      </c>
      <c r="I40" s="15"/>
    </row>
    <row r="41" spans="1:12" x14ac:dyDescent="0.2">
      <c r="A41" s="2" t="str">
        <f>"2052"</f>
        <v>2052</v>
      </c>
      <c r="B41" t="str">
        <f>"Gaver"</f>
        <v>Gaver</v>
      </c>
      <c r="C41" s="10">
        <v>2000</v>
      </c>
      <c r="E41" s="1">
        <v>2000</v>
      </c>
      <c r="F41" s="1">
        <v>2595.5500000000002</v>
      </c>
      <c r="G41" s="1">
        <v>3109.9</v>
      </c>
      <c r="H41" s="1">
        <v>2000</v>
      </c>
      <c r="I41" s="15"/>
    </row>
    <row r="42" spans="1:12" x14ac:dyDescent="0.2">
      <c r="A42" s="2" t="str">
        <f>"2053"</f>
        <v>2053</v>
      </c>
      <c r="B42" t="str">
        <f>"Diverse tørklæder og uniformer"</f>
        <v>Diverse tørklæder og uniformer</v>
      </c>
      <c r="C42" s="10">
        <v>2500</v>
      </c>
      <c r="E42" s="1">
        <v>1500</v>
      </c>
      <c r="F42" s="1">
        <v>1641.6</v>
      </c>
      <c r="G42" s="1">
        <v>2399.6</v>
      </c>
      <c r="H42" s="1">
        <v>1500</v>
      </c>
      <c r="I42" s="15"/>
    </row>
    <row r="43" spans="1:12" x14ac:dyDescent="0.2">
      <c r="A43" s="2" t="str">
        <f>"2060"</f>
        <v>2060</v>
      </c>
      <c r="B43" t="str">
        <f>"Materiel/småanskaffelser"</f>
        <v>Materiel/småanskaffelser</v>
      </c>
      <c r="C43" s="10">
        <v>10000</v>
      </c>
      <c r="E43" s="1">
        <v>15000</v>
      </c>
      <c r="F43" s="1">
        <v>13796.28</v>
      </c>
      <c r="G43" s="1">
        <v>28098.720000000001</v>
      </c>
      <c r="H43" s="1">
        <v>10000</v>
      </c>
      <c r="I43" s="15"/>
    </row>
    <row r="44" spans="1:12" x14ac:dyDescent="0.2">
      <c r="A44" s="2" t="str">
        <f>"2070"</f>
        <v>2070</v>
      </c>
      <c r="B44" t="str">
        <f>"Lejrplads og Hytteleje"</f>
        <v>Lejrplads og Hytteleje</v>
      </c>
      <c r="C44" s="10">
        <v>0</v>
      </c>
      <c r="E44" s="1">
        <v>0</v>
      </c>
      <c r="F44" s="1">
        <v>0</v>
      </c>
      <c r="G44" s="1"/>
      <c r="I44" s="15"/>
    </row>
    <row r="45" spans="1:12" x14ac:dyDescent="0.2">
      <c r="A45" s="2" t="str">
        <f>"2073"</f>
        <v>2073</v>
      </c>
      <c r="B45" t="str">
        <f>"Vedligeholdelse og rengøring"</f>
        <v>Vedligeholdelse og rengøring</v>
      </c>
      <c r="C45" s="10">
        <v>2000</v>
      </c>
      <c r="E45" s="1">
        <v>2000</v>
      </c>
      <c r="F45" s="1">
        <v>1430.75</v>
      </c>
      <c r="G45" s="1">
        <v>2969.58</v>
      </c>
      <c r="H45" s="1">
        <v>2000</v>
      </c>
      <c r="I45" s="15"/>
    </row>
    <row r="46" spans="1:12" x14ac:dyDescent="0.2">
      <c r="A46" s="2" t="str">
        <f>"2075"</f>
        <v>2075</v>
      </c>
      <c r="B46" t="str">
        <f>"Udenomsarealer"</f>
        <v>Udenomsarealer</v>
      </c>
      <c r="C46" s="10">
        <v>0</v>
      </c>
      <c r="E46" s="1">
        <v>0</v>
      </c>
      <c r="F46" s="1">
        <v>0</v>
      </c>
      <c r="G46" s="1"/>
      <c r="H46" s="10">
        <v>0</v>
      </c>
      <c r="I46" s="15"/>
    </row>
    <row r="47" spans="1:12" x14ac:dyDescent="0.2">
      <c r="A47" s="2" t="str">
        <f>"2080"</f>
        <v>2080</v>
      </c>
      <c r="B47" t="str">
        <f>"Renter"</f>
        <v>Renter</v>
      </c>
      <c r="C47" s="10">
        <v>0</v>
      </c>
      <c r="E47" s="1">
        <v>0</v>
      </c>
      <c r="F47" s="1">
        <v>0</v>
      </c>
      <c r="G47" s="1"/>
      <c r="H47" s="10">
        <v>0</v>
      </c>
      <c r="I47" s="15"/>
    </row>
    <row r="48" spans="1:12" x14ac:dyDescent="0.2">
      <c r="A48" s="5">
        <v>2090</v>
      </c>
      <c r="B48" s="18" t="s">
        <v>5</v>
      </c>
      <c r="C48" s="18"/>
      <c r="D48" s="18"/>
      <c r="E48" s="18"/>
      <c r="F48" s="18"/>
      <c r="G48" s="18"/>
      <c r="H48" s="18"/>
    </row>
    <row r="49" spans="1:9" x14ac:dyDescent="0.2">
      <c r="A49" s="2" t="str">
        <f>"2091"</f>
        <v>2091</v>
      </c>
      <c r="B49" t="str">
        <f>"Gas"</f>
        <v>Gas</v>
      </c>
      <c r="C49" s="1">
        <v>15000</v>
      </c>
      <c r="E49" s="1">
        <v>15000</v>
      </c>
      <c r="F49" s="1">
        <v>14068.56</v>
      </c>
      <c r="G49" s="1">
        <v>11588.28</v>
      </c>
      <c r="H49" s="1">
        <v>15000</v>
      </c>
      <c r="I49" s="15"/>
    </row>
    <row r="50" spans="1:9" x14ac:dyDescent="0.2">
      <c r="A50" s="2" t="str">
        <f>"2092"</f>
        <v>2092</v>
      </c>
      <c r="B50" t="str">
        <f>"El"</f>
        <v>El</v>
      </c>
      <c r="C50" s="1">
        <v>7500</v>
      </c>
      <c r="E50" s="1">
        <v>4000</v>
      </c>
      <c r="F50" s="1">
        <v>4365.54</v>
      </c>
      <c r="G50" s="1">
        <v>3875.11</v>
      </c>
      <c r="H50" s="1">
        <v>3000</v>
      </c>
      <c r="I50" s="15"/>
    </row>
    <row r="51" spans="1:9" x14ac:dyDescent="0.2">
      <c r="A51" s="2" t="str">
        <f>"2093"</f>
        <v>2093</v>
      </c>
      <c r="B51" t="str">
        <f>"Vand og renovation"</f>
        <v>Vand og renovation</v>
      </c>
      <c r="C51" s="1">
        <v>4500</v>
      </c>
      <c r="E51" s="1">
        <v>4500</v>
      </c>
      <c r="F51" s="1">
        <v>4456.6899999999996</v>
      </c>
      <c r="G51" s="1">
        <v>4764.66</v>
      </c>
      <c r="H51" s="1">
        <v>4500</v>
      </c>
      <c r="I51" s="15"/>
    </row>
    <row r="52" spans="1:9" x14ac:dyDescent="0.2">
      <c r="A52" s="2" t="str">
        <f>"2094"</f>
        <v>2094</v>
      </c>
      <c r="B52" t="str">
        <f>"Skatter, afgifter og forsikringer"</f>
        <v>Skatter, afgifter og forsikringer</v>
      </c>
      <c r="C52" s="1">
        <v>9000</v>
      </c>
      <c r="E52" s="1">
        <v>9000</v>
      </c>
      <c r="F52" s="1">
        <v>8912.25</v>
      </c>
      <c r="G52" s="1">
        <v>8778.51</v>
      </c>
      <c r="H52" s="1">
        <v>9000</v>
      </c>
      <c r="I52" s="15"/>
    </row>
    <row r="53" spans="1:9" x14ac:dyDescent="0.2">
      <c r="A53" s="5">
        <v>2095</v>
      </c>
      <c r="B53" s="18" t="s">
        <v>6</v>
      </c>
      <c r="C53" s="18"/>
      <c r="D53" s="18"/>
      <c r="E53" s="18"/>
      <c r="F53" s="18"/>
      <c r="G53" s="18"/>
      <c r="H53" s="18"/>
    </row>
    <row r="54" spans="1:9" x14ac:dyDescent="0.2">
      <c r="A54" s="2" t="str">
        <f>"2096"</f>
        <v>2096</v>
      </c>
      <c r="B54" t="str">
        <f>"Gas"</f>
        <v>Gas</v>
      </c>
      <c r="C54" s="1">
        <v>0</v>
      </c>
      <c r="E54" s="1">
        <v>0</v>
      </c>
      <c r="F54" s="1">
        <v>-7085.99</v>
      </c>
      <c r="G54" s="1">
        <v>5409.62</v>
      </c>
      <c r="H54" s="10">
        <v>0</v>
      </c>
      <c r="I54" s="15"/>
    </row>
    <row r="55" spans="1:9" x14ac:dyDescent="0.2">
      <c r="A55" s="2" t="str">
        <f>"2097"</f>
        <v>2097</v>
      </c>
      <c r="B55" t="str">
        <f>"El"</f>
        <v>El</v>
      </c>
      <c r="C55" s="1">
        <v>0</v>
      </c>
      <c r="E55" s="1">
        <v>0</v>
      </c>
      <c r="F55" s="1">
        <v>-417.96</v>
      </c>
      <c r="G55" s="1">
        <v>1161.03</v>
      </c>
      <c r="H55" s="10">
        <v>0</v>
      </c>
      <c r="I55" s="15"/>
    </row>
    <row r="56" spans="1:9" x14ac:dyDescent="0.2">
      <c r="A56" s="2" t="str">
        <f>"2098"</f>
        <v>2098</v>
      </c>
      <c r="B56" t="str">
        <f>"Vand og renovation"</f>
        <v>Vand og renovation</v>
      </c>
      <c r="C56" s="1">
        <v>0</v>
      </c>
      <c r="E56" s="1">
        <v>0</v>
      </c>
      <c r="F56" s="1">
        <v>-746.64</v>
      </c>
      <c r="G56" s="1">
        <v>841</v>
      </c>
      <c r="H56" s="10">
        <v>0</v>
      </c>
      <c r="I56" s="15"/>
    </row>
    <row r="57" spans="1:9" x14ac:dyDescent="0.2">
      <c r="A57" s="2" t="str">
        <f>"2099"</f>
        <v>2099</v>
      </c>
      <c r="B57" t="str">
        <f>"Skatter, afgifter og forsikringer"</f>
        <v>Skatter, afgifter og forsikringer</v>
      </c>
      <c r="C57" s="1">
        <v>0</v>
      </c>
      <c r="E57" s="1">
        <v>0</v>
      </c>
      <c r="F57" s="1">
        <v>-3806.83</v>
      </c>
      <c r="G57" s="1">
        <v>7476.07</v>
      </c>
      <c r="H57" s="10">
        <v>0</v>
      </c>
      <c r="I57" s="15"/>
    </row>
    <row r="58" spans="1:9" x14ac:dyDescent="0.2">
      <c r="A58" s="5">
        <v>2100</v>
      </c>
      <c r="B58" s="18" t="s">
        <v>7</v>
      </c>
      <c r="C58" s="18"/>
      <c r="D58" s="18"/>
      <c r="E58" s="18"/>
      <c r="F58" s="18"/>
      <c r="G58" s="18"/>
      <c r="H58" s="18"/>
    </row>
    <row r="59" spans="1:9" x14ac:dyDescent="0.2">
      <c r="A59" s="2" t="str">
        <f>"2101"</f>
        <v>2101</v>
      </c>
      <c r="B59" t="str">
        <f>"Lodsedler"</f>
        <v>Lodsedler</v>
      </c>
      <c r="C59" s="1">
        <v>10000</v>
      </c>
      <c r="E59" s="1">
        <v>10000</v>
      </c>
      <c r="F59" s="1">
        <v>10000</v>
      </c>
      <c r="G59" s="1">
        <v>5000</v>
      </c>
      <c r="H59" s="10">
        <v>7000</v>
      </c>
      <c r="I59" s="15"/>
    </row>
    <row r="60" spans="1:9" x14ac:dyDescent="0.2">
      <c r="A60" s="2" t="str">
        <f>"2102"</f>
        <v>2102</v>
      </c>
      <c r="B60" t="str">
        <f>"Blomsterløg"</f>
        <v>Blomsterløg</v>
      </c>
      <c r="C60" s="1">
        <v>8000</v>
      </c>
      <c r="E60" s="1">
        <v>8000</v>
      </c>
      <c r="F60" s="1">
        <v>10202.5</v>
      </c>
      <c r="G60" s="1">
        <v>12333</v>
      </c>
      <c r="H60" s="10">
        <v>12000</v>
      </c>
      <c r="I60" s="15"/>
    </row>
    <row r="61" spans="1:9" x14ac:dyDescent="0.2">
      <c r="A61" s="2" t="str">
        <f>"2103"</f>
        <v>2103</v>
      </c>
      <c r="B61" t="str">
        <f>"Flagallè"</f>
        <v>Flagallè</v>
      </c>
      <c r="C61" s="1">
        <v>0</v>
      </c>
      <c r="E61" s="1">
        <v>0</v>
      </c>
      <c r="F61" s="1">
        <v>0</v>
      </c>
      <c r="G61" s="1"/>
      <c r="H61" s="10">
        <v>0</v>
      </c>
      <c r="I61" s="15"/>
    </row>
    <row r="62" spans="1:9" x14ac:dyDescent="0.2">
      <c r="A62" s="2" t="str">
        <f>"2106"</f>
        <v>2106</v>
      </c>
      <c r="B62" t="str">
        <f>"Bryggeriet"</f>
        <v>Bryggeriet</v>
      </c>
      <c r="C62" s="1">
        <v>0</v>
      </c>
      <c r="E62" s="1">
        <v>0</v>
      </c>
      <c r="F62" s="1">
        <v>0</v>
      </c>
      <c r="G62" s="1"/>
      <c r="H62" s="10">
        <v>0</v>
      </c>
      <c r="I62" s="15"/>
    </row>
    <row r="63" spans="1:9" x14ac:dyDescent="0.2">
      <c r="A63" s="2" t="str">
        <f>"2107"</f>
        <v>2107</v>
      </c>
      <c r="B63" t="str">
        <f>"Gelsted marked"</f>
        <v>Gelsted marked</v>
      </c>
      <c r="C63" s="1">
        <v>0</v>
      </c>
      <c r="E63" s="1">
        <v>0</v>
      </c>
      <c r="F63" s="1">
        <v>0</v>
      </c>
      <c r="G63" s="1"/>
      <c r="H63" s="10">
        <v>0</v>
      </c>
      <c r="I63" s="15"/>
    </row>
    <row r="64" spans="1:9" x14ac:dyDescent="0.2">
      <c r="A64" s="2" t="str">
        <f>"2108"</f>
        <v>2108</v>
      </c>
      <c r="B64" t="str">
        <f>"Julekalendere"</f>
        <v>Julekalendere</v>
      </c>
      <c r="C64" s="1">
        <v>4000</v>
      </c>
      <c r="E64" s="1">
        <v>3800</v>
      </c>
      <c r="F64" s="1">
        <v>3800</v>
      </c>
      <c r="G64" s="1">
        <v>3800</v>
      </c>
      <c r="H64" s="10">
        <v>3500</v>
      </c>
      <c r="I64" s="15"/>
    </row>
    <row r="65" spans="1:9" x14ac:dyDescent="0.2">
      <c r="A65" s="2" t="str">
        <f>"2109"</f>
        <v>2109</v>
      </c>
      <c r="B65" t="str">
        <f>"Diverse"</f>
        <v>Diverse</v>
      </c>
      <c r="C65" s="1">
        <v>0</v>
      </c>
      <c r="E65" s="1">
        <v>0</v>
      </c>
      <c r="F65" s="1">
        <v>285.60000000000002</v>
      </c>
      <c r="G65" s="1">
        <v>3504.76</v>
      </c>
    </row>
    <row r="66" spans="1:9" x14ac:dyDescent="0.2">
      <c r="A66" s="5">
        <v>2110</v>
      </c>
      <c r="B66" s="18" t="s">
        <v>7</v>
      </c>
      <c r="C66" s="18"/>
      <c r="D66" s="18"/>
      <c r="E66" s="18"/>
      <c r="F66" s="18"/>
      <c r="G66" s="18"/>
      <c r="H66" s="18"/>
    </row>
    <row r="67" spans="1:9" x14ac:dyDescent="0.2">
      <c r="A67" s="7">
        <v>2997</v>
      </c>
      <c r="B67" s="3" t="s">
        <v>8</v>
      </c>
      <c r="C67" s="17">
        <f t="shared" ref="C67:D67" si="0">SUM(C28:C66)</f>
        <v>232700</v>
      </c>
      <c r="D67" s="17">
        <f t="shared" si="0"/>
        <v>0</v>
      </c>
      <c r="E67" s="17">
        <f>SUM(E28:E66)</f>
        <v>235500</v>
      </c>
      <c r="F67" s="4">
        <f>SUM(F28:F66)</f>
        <v>281886.36</v>
      </c>
      <c r="G67" s="4">
        <f>SUM(G28:G66)</f>
        <v>313026.89</v>
      </c>
      <c r="H67" s="4">
        <f>SUM(H28:H66)</f>
        <v>294700</v>
      </c>
      <c r="I67" s="16"/>
    </row>
    <row r="68" spans="1:9" x14ac:dyDescent="0.2">
      <c r="A68" s="7">
        <v>2998</v>
      </c>
      <c r="B68" s="3" t="s">
        <v>9</v>
      </c>
      <c r="C68" s="17">
        <f t="shared" ref="C68:D68" si="1">C26-C67</f>
        <v>50</v>
      </c>
      <c r="D68" s="17">
        <f t="shared" si="1"/>
        <v>0</v>
      </c>
      <c r="E68" s="17">
        <f>E26-E67</f>
        <v>9700</v>
      </c>
      <c r="F68" s="4">
        <f>F26-F67</f>
        <v>4155.2900000000373</v>
      </c>
      <c r="G68" s="4">
        <f>G26-G67</f>
        <v>-6131.960000000021</v>
      </c>
      <c r="H68" s="4">
        <f>H26-H67</f>
        <v>-18400</v>
      </c>
      <c r="I68" s="16"/>
    </row>
    <row r="69" spans="1:9" s="9" customFormat="1" x14ac:dyDescent="0.2">
      <c r="A69" s="5">
        <v>2999</v>
      </c>
      <c r="B69" s="18" t="s">
        <v>20</v>
      </c>
      <c r="C69" s="18"/>
      <c r="D69" s="18"/>
      <c r="E69" s="18"/>
      <c r="F69" s="18"/>
      <c r="G69" s="18"/>
      <c r="H69" s="18"/>
      <c r="I69" s="12"/>
    </row>
    <row r="70" spans="1:9" x14ac:dyDescent="0.2">
      <c r="A70" s="2">
        <v>3000</v>
      </c>
      <c r="B70" t="s">
        <v>10</v>
      </c>
      <c r="G70" s="1">
        <v>79661.509999999995</v>
      </c>
      <c r="H70" s="4"/>
      <c r="I70" s="16"/>
    </row>
    <row r="71" spans="1:9" x14ac:dyDescent="0.2">
      <c r="A71" s="2">
        <v>3002</v>
      </c>
      <c r="B71" t="s">
        <v>11</v>
      </c>
      <c r="G71" s="1">
        <v>26468.400000000001</v>
      </c>
      <c r="H71" s="4"/>
      <c r="I71" s="16"/>
    </row>
    <row r="72" spans="1:9" x14ac:dyDescent="0.2">
      <c r="A72" s="2">
        <v>3004</v>
      </c>
      <c r="B72" t="s">
        <v>12</v>
      </c>
      <c r="G72" s="1">
        <v>35164.74</v>
      </c>
      <c r="H72" s="4"/>
      <c r="I72" s="16"/>
    </row>
    <row r="73" spans="1:9" x14ac:dyDescent="0.2">
      <c r="A73" s="2">
        <v>3007</v>
      </c>
      <c r="B73" t="s">
        <v>41</v>
      </c>
      <c r="G73" s="1">
        <v>-0.01</v>
      </c>
      <c r="H73" s="4"/>
      <c r="I73" s="16"/>
    </row>
    <row r="74" spans="1:9" x14ac:dyDescent="0.2">
      <c r="A74" s="2">
        <v>3020</v>
      </c>
      <c r="B74" t="s">
        <v>13</v>
      </c>
      <c r="G74" s="1">
        <v>7806</v>
      </c>
      <c r="H74" s="4"/>
      <c r="I74" s="16"/>
    </row>
    <row r="75" spans="1:9" x14ac:dyDescent="0.2">
      <c r="A75" s="2">
        <v>3030</v>
      </c>
      <c r="B75" t="s">
        <v>14</v>
      </c>
      <c r="G75" s="1">
        <v>492.84</v>
      </c>
      <c r="H75" s="4"/>
      <c r="I75" s="16"/>
    </row>
    <row r="76" spans="1:9" x14ac:dyDescent="0.2">
      <c r="A76" s="2">
        <v>3040</v>
      </c>
      <c r="B76" t="s">
        <v>15</v>
      </c>
      <c r="G76" s="1"/>
      <c r="H76" s="4"/>
      <c r="I76" s="16"/>
    </row>
    <row r="77" spans="1:9" x14ac:dyDescent="0.2">
      <c r="A77" s="2">
        <v>3050</v>
      </c>
      <c r="B77" t="s">
        <v>16</v>
      </c>
      <c r="G77" s="1">
        <v>2285.08</v>
      </c>
      <c r="H77" s="4"/>
      <c r="I77" s="16"/>
    </row>
    <row r="78" spans="1:9" x14ac:dyDescent="0.2">
      <c r="A78" s="2">
        <v>3060</v>
      </c>
      <c r="B78" t="s">
        <v>17</v>
      </c>
      <c r="G78" s="1">
        <v>250000</v>
      </c>
      <c r="H78" s="4"/>
      <c r="I78" s="16"/>
    </row>
    <row r="79" spans="1:9" x14ac:dyDescent="0.2">
      <c r="A79" s="2">
        <v>3070</v>
      </c>
      <c r="B79" t="s">
        <v>18</v>
      </c>
      <c r="G79" s="1">
        <v>400000</v>
      </c>
      <c r="H79" s="4"/>
      <c r="I79" s="16"/>
    </row>
    <row r="80" spans="1:9" x14ac:dyDescent="0.2">
      <c r="A80" s="2">
        <v>3071</v>
      </c>
      <c r="B80" t="s">
        <v>19</v>
      </c>
      <c r="G80" s="1"/>
      <c r="H80" s="4"/>
      <c r="I80" s="16"/>
    </row>
    <row r="81" spans="1:9" x14ac:dyDescent="0.2">
      <c r="B81" t="s">
        <v>31</v>
      </c>
      <c r="G81" s="1">
        <f>SUM(G70:G80)</f>
        <v>801878.55999999994</v>
      </c>
      <c r="H81" s="4"/>
      <c r="I81" s="16"/>
    </row>
    <row r="82" spans="1:9" x14ac:dyDescent="0.2">
      <c r="A82" s="5">
        <v>3999</v>
      </c>
      <c r="B82" s="18" t="s">
        <v>21</v>
      </c>
      <c r="C82" s="18"/>
      <c r="D82" s="18"/>
      <c r="E82" s="18"/>
      <c r="F82" s="18"/>
      <c r="G82" s="18"/>
      <c r="H82" s="18"/>
    </row>
    <row r="83" spans="1:9" x14ac:dyDescent="0.2">
      <c r="A83" s="2">
        <v>4000</v>
      </c>
      <c r="B83" t="s">
        <v>22</v>
      </c>
      <c r="G83" s="1">
        <v>0</v>
      </c>
      <c r="H83" s="4"/>
      <c r="I83" s="16"/>
    </row>
    <row r="84" spans="1:9" x14ac:dyDescent="0.2">
      <c r="A84" s="2">
        <v>4010</v>
      </c>
      <c r="B84" t="s">
        <v>23</v>
      </c>
      <c r="G84" s="1">
        <v>0</v>
      </c>
      <c r="H84" s="4"/>
      <c r="I84" s="16"/>
    </row>
    <row r="85" spans="1:9" x14ac:dyDescent="0.2">
      <c r="A85" s="2">
        <v>4020</v>
      </c>
      <c r="B85" t="s">
        <v>24</v>
      </c>
      <c r="G85" s="1">
        <v>0</v>
      </c>
      <c r="H85" s="4"/>
      <c r="I85" s="16"/>
    </row>
    <row r="86" spans="1:9" x14ac:dyDescent="0.2">
      <c r="A86" s="2">
        <v>4030</v>
      </c>
      <c r="B86" t="s">
        <v>25</v>
      </c>
      <c r="G86" s="1">
        <v>0</v>
      </c>
      <c r="H86" s="4"/>
      <c r="I86" s="16"/>
    </row>
    <row r="87" spans="1:9" x14ac:dyDescent="0.2">
      <c r="A87" s="2">
        <v>4040</v>
      </c>
      <c r="B87" t="s">
        <v>26</v>
      </c>
      <c r="G87" s="1">
        <v>0</v>
      </c>
      <c r="H87" s="4"/>
      <c r="I87" s="16"/>
    </row>
    <row r="88" spans="1:9" x14ac:dyDescent="0.2">
      <c r="B88" t="s">
        <v>27</v>
      </c>
      <c r="G88" s="1">
        <v>808010.52</v>
      </c>
      <c r="H88" s="4"/>
      <c r="I88" s="16"/>
    </row>
    <row r="89" spans="1:9" x14ac:dyDescent="0.2">
      <c r="B89" t="s">
        <v>28</v>
      </c>
      <c r="G89" s="1">
        <v>-6131.96</v>
      </c>
      <c r="H89" s="4"/>
      <c r="I89" s="16"/>
    </row>
    <row r="90" spans="1:9" x14ac:dyDescent="0.2">
      <c r="A90" s="2">
        <v>4050</v>
      </c>
      <c r="B90" t="s">
        <v>29</v>
      </c>
      <c r="G90" s="1">
        <f>SUM(G88+G89)</f>
        <v>801878.56</v>
      </c>
      <c r="H90" s="4"/>
      <c r="I90" s="16"/>
    </row>
    <row r="91" spans="1:9" x14ac:dyDescent="0.2">
      <c r="B91" t="s">
        <v>30</v>
      </c>
      <c r="G91" s="1">
        <f>SUM(G90)</f>
        <v>801878.56</v>
      </c>
      <c r="H91" s="4"/>
      <c r="I91" s="16"/>
    </row>
    <row r="92" spans="1:9" x14ac:dyDescent="0.2">
      <c r="G92" s="1"/>
      <c r="H92" s="4"/>
      <c r="I92" s="16"/>
    </row>
  </sheetData>
  <mergeCells count="8">
    <mergeCell ref="B82:H82"/>
    <mergeCell ref="B66:H66"/>
    <mergeCell ref="B2:H2"/>
    <mergeCell ref="B27:H27"/>
    <mergeCell ref="B48:H48"/>
    <mergeCell ref="B53:H53"/>
    <mergeCell ref="B58:H58"/>
    <mergeCell ref="B69:H69"/>
  </mergeCells>
  <pageMargins left="1.0236220472440944" right="0.23622047244094491" top="0.55118110236220474" bottom="0.55118110236220474" header="0.31496062992125984" footer="0.31496062992125984"/>
  <pageSetup orientation="portrait" r:id="rId1"/>
  <headerFooter>
    <oddHeader>&amp;A</oddHeader>
    <oddFooter>Side &amp;P af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Grupperegnskab spejder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lindbaum</dc:creator>
  <cp:lastModifiedBy>Microsoft Office User</cp:lastModifiedBy>
  <cp:lastPrinted>2017-02-14T11:29:17Z</cp:lastPrinted>
  <dcterms:created xsi:type="dcterms:W3CDTF">2015-02-19T14:15:25Z</dcterms:created>
  <dcterms:modified xsi:type="dcterms:W3CDTF">2019-02-25T08:09:11Z</dcterms:modified>
</cp:coreProperties>
</file>